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216" windowWidth="12396" windowHeight="9312" tabRatio="43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>
    <definedName name="_xlnm.Print_Area" localSheetId="0">'Tabelle1'!$A$1:$F$70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'Tabelle1'!$C$27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'Tabelle1'!$C$12</definedName>
    <definedName name="solver_pre" localSheetId="0" hidden="1">0.000001</definedName>
    <definedName name="solver_rel1" localSheetId="0" hidden="1">1</definedName>
    <definedName name="solver_rhs1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<sst xmlns="http://schemas.openxmlformats.org/spreadsheetml/2006/main" count="157" uniqueCount="104">
  <si>
    <t>m/s</t>
  </si>
  <si>
    <t>N</t>
  </si>
  <si>
    <t>m</t>
  </si>
  <si>
    <r>
      <t>m</t>
    </r>
    <r>
      <rPr>
        <vertAlign val="superscript"/>
        <sz val="12"/>
        <rFont val="Arial"/>
        <family val="2"/>
      </rPr>
      <t>2</t>
    </r>
  </si>
  <si>
    <t>Abgeleitete Größen</t>
  </si>
  <si>
    <t>Hz</t>
  </si>
  <si>
    <t xml:space="preserve"> </t>
  </si>
  <si>
    <t>Einheit</t>
  </si>
  <si>
    <r>
      <t>Ns/m</t>
    </r>
    <r>
      <rPr>
        <vertAlign val="superscript"/>
        <sz val="12"/>
        <rFont val="Arial"/>
        <family val="2"/>
      </rPr>
      <t>2</t>
    </r>
  </si>
  <si>
    <r>
      <t>kg/m</t>
    </r>
    <r>
      <rPr>
        <vertAlign val="superscript"/>
        <sz val="12"/>
        <rFont val="Arial"/>
        <family val="2"/>
      </rPr>
      <t>3</t>
    </r>
  </si>
  <si>
    <t>deg</t>
  </si>
  <si>
    <t>%</t>
  </si>
  <si>
    <t xml:space="preserve">Þ </t>
  </si>
  <si>
    <r>
      <t xml:space="preserve">Amplitude </t>
    </r>
    <r>
      <rPr>
        <sz val="12"/>
        <rFont val="SymbolProp BT"/>
        <family val="1"/>
      </rPr>
      <t>a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, Amplitudenverhältnis</t>
    </r>
    <r>
      <rPr>
        <sz val="12"/>
        <rFont val="SymbolProp BT"/>
        <family val="1"/>
      </rPr>
      <t xml:space="preserve"> l</t>
    </r>
  </si>
  <si>
    <r>
      <t>N/m</t>
    </r>
    <r>
      <rPr>
        <vertAlign val="superscript"/>
        <sz val="12"/>
        <rFont val="Arial"/>
        <family val="2"/>
      </rPr>
      <t>2</t>
    </r>
  </si>
  <si>
    <t>W</t>
  </si>
  <si>
    <t>Mathematische Funktionen</t>
  </si>
  <si>
    <r>
      <t xml:space="preserve">Theodorsen Funktion zu </t>
    </r>
    <r>
      <rPr>
        <sz val="12"/>
        <rFont val="SymbolProp BT"/>
        <family val="1"/>
      </rPr>
      <t>w</t>
    </r>
    <r>
      <rPr>
        <sz val="12"/>
        <rFont val="Arial"/>
        <family val="2"/>
      </rPr>
      <t>*</t>
    </r>
  </si>
  <si>
    <t>Hankel(2)0</t>
  </si>
  <si>
    <t>Hankel(2)1</t>
  </si>
  <si>
    <t>Realteil, Imaginärteil</t>
  </si>
  <si>
    <t>Normalkraftbeiwert Schlagen</t>
  </si>
  <si>
    <t>Betrag, Phase</t>
  </si>
  <si>
    <r>
      <t>Normalkraftbeiwert Drehen</t>
    </r>
    <r>
      <rPr>
        <sz val="12"/>
        <rFont val="MT Extra"/>
        <family val="1"/>
      </rPr>
      <t xml:space="preserve"> l</t>
    </r>
    <r>
      <rPr>
        <sz val="12"/>
        <rFont val="Arial"/>
        <family val="2"/>
      </rPr>
      <t>/4</t>
    </r>
  </si>
  <si>
    <r>
      <t>Momentenbeiwert Schlagen</t>
    </r>
    <r>
      <rPr>
        <sz val="12"/>
        <rFont val="MT Extra"/>
        <family val="1"/>
      </rPr>
      <t xml:space="preserve"> l</t>
    </r>
    <r>
      <rPr>
        <sz val="12"/>
        <rFont val="Arial"/>
        <family val="2"/>
      </rPr>
      <t>/4</t>
    </r>
  </si>
  <si>
    <r>
      <t xml:space="preserve">MomentenbeiwertDrehen </t>
    </r>
    <r>
      <rPr>
        <sz val="12"/>
        <rFont val="MT Extra"/>
        <family val="1"/>
      </rPr>
      <t>l</t>
    </r>
    <r>
      <rPr>
        <sz val="12"/>
        <rFont val="Arial"/>
        <family val="2"/>
      </rPr>
      <t>/4</t>
    </r>
  </si>
  <si>
    <t>Entwurf: Dr. W. Send - ANIPROP GbR</t>
  </si>
  <si>
    <t>Normalkraftbeiwert Drehen</t>
  </si>
  <si>
    <t>Momentenbeiwert Schlagen</t>
  </si>
  <si>
    <t>Momentenbeiwert Drehen</t>
  </si>
  <si>
    <t>&lt;c,Ph&gt;</t>
  </si>
  <si>
    <t>&lt;c,Pa&gt;</t>
  </si>
  <si>
    <t>&lt;c,Pg&gt;</t>
  </si>
  <si>
    <t xml:space="preserve">Wirkungsgrad 2D aus Querkräften </t>
  </si>
  <si>
    <r>
      <t xml:space="preserve">Nennkraft </t>
    </r>
    <r>
      <rPr>
        <i/>
        <sz val="12"/>
        <rFont val="Arial"/>
        <family val="2"/>
      </rPr>
      <t>F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, Nennleistung </t>
    </r>
    <r>
      <rPr>
        <i/>
        <sz val="12"/>
        <rFont val="Arial"/>
        <family val="2"/>
      </rPr>
      <t>P</t>
    </r>
    <r>
      <rPr>
        <vertAlign val="subscript"/>
        <sz val="12"/>
        <rFont val="Arial"/>
        <family val="2"/>
      </rPr>
      <t>0</t>
    </r>
  </si>
  <si>
    <t>Näherung der Leistungen (Platte)</t>
  </si>
  <si>
    <t>-</t>
  </si>
  <si>
    <t xml:space="preserve"> -</t>
  </si>
  <si>
    <r>
      <t>c</t>
    </r>
    <r>
      <rPr>
        <vertAlign val="subscript"/>
        <sz val="12"/>
        <rFont val="Arial"/>
        <family val="2"/>
      </rPr>
      <t xml:space="preserve">W </t>
    </r>
    <r>
      <rPr>
        <sz val="12"/>
        <rFont val="Arial"/>
        <family val="2"/>
      </rPr>
      <t xml:space="preserve">aus Nasenschub </t>
    </r>
  </si>
  <si>
    <r>
      <t>W/m</t>
    </r>
    <r>
      <rPr>
        <vertAlign val="superscript"/>
        <sz val="12"/>
        <rFont val="Arial"/>
        <family val="2"/>
      </rPr>
      <t>2</t>
    </r>
  </si>
  <si>
    <t>Þ</t>
  </si>
  <si>
    <t>Kinematische Daten</t>
  </si>
  <si>
    <t>Ebene Platte 2D mit 3D Korrektur</t>
  </si>
  <si>
    <t xml:space="preserve"> alfa.H0</t>
  </si>
  <si>
    <t>alfa.0</t>
  </si>
  <si>
    <t>lambda</t>
  </si>
  <si>
    <t>alfa.H0</t>
  </si>
  <si>
    <t xml:space="preserve"> kappa</t>
  </si>
  <si>
    <r>
      <t xml:space="preserve">Reynoldszahl </t>
    </r>
    <r>
      <rPr>
        <i/>
        <sz val="12"/>
        <rFont val="Arial"/>
        <family val="2"/>
      </rPr>
      <t>Re</t>
    </r>
  </si>
  <si>
    <r>
      <t xml:space="preserve">Reduzierte Frequenz </t>
    </r>
    <r>
      <rPr>
        <sz val="12"/>
        <rFont val="SymbolProp BT"/>
        <family val="1"/>
      </rPr>
      <t>w</t>
    </r>
    <r>
      <rPr>
        <sz val="12"/>
        <rFont val="Arial"/>
        <family val="2"/>
      </rPr>
      <t>* (Bezug auf</t>
    </r>
    <r>
      <rPr>
        <i/>
        <sz val="12"/>
        <rFont val="Arial"/>
        <family val="2"/>
      </rPr>
      <t xml:space="preserve"> </t>
    </r>
    <r>
      <rPr>
        <i/>
        <sz val="12"/>
        <rFont val="MT Extra"/>
        <family val="1"/>
      </rPr>
      <t>l</t>
    </r>
    <r>
      <rPr>
        <sz val="12"/>
        <rFont val="Arial"/>
        <family val="2"/>
      </rPr>
      <t>/2)</t>
    </r>
  </si>
  <si>
    <t>Physikalische Daten</t>
  </si>
  <si>
    <t>V 1.0 -30.08.2002</t>
  </si>
  <si>
    <t>Basisdaten</t>
  </si>
  <si>
    <t>Für Artikel Nat.wiss. Rundschau</t>
  </si>
  <si>
    <t>Auslegung und Geometrie</t>
  </si>
  <si>
    <r>
      <t>N</t>
    </r>
    <r>
      <rPr>
        <vertAlign val="superscript"/>
        <sz val="12"/>
        <rFont val="Arial"/>
        <family val="2"/>
      </rPr>
      <t>2/3</t>
    </r>
    <r>
      <rPr>
        <sz val="12"/>
        <rFont val="Arial"/>
        <family val="2"/>
      </rPr>
      <t>/m</t>
    </r>
    <r>
      <rPr>
        <vertAlign val="superscript"/>
        <sz val="12"/>
        <rFont val="Arial"/>
        <family val="2"/>
      </rPr>
      <t>2</t>
    </r>
  </si>
  <si>
    <r>
      <t xml:space="preserve">Konstante </t>
    </r>
    <r>
      <rPr>
        <i/>
        <sz val="12"/>
        <rFont val="Arial"/>
        <family val="2"/>
      </rPr>
      <t>k</t>
    </r>
    <r>
      <rPr>
        <i/>
        <vertAlign val="subscript"/>
        <sz val="12"/>
        <rFont val="Arial"/>
        <family val="2"/>
      </rPr>
      <t>G</t>
    </r>
    <r>
      <rPr>
        <sz val="12"/>
        <rFont val="Arial"/>
        <family val="2"/>
      </rPr>
      <t xml:space="preserve">, Gesamtgewicht </t>
    </r>
    <r>
      <rPr>
        <i/>
        <sz val="12"/>
        <rFont val="Arial"/>
        <family val="2"/>
      </rPr>
      <t>G</t>
    </r>
  </si>
  <si>
    <r>
      <t>2D Beiwert</t>
    </r>
    <r>
      <rPr>
        <i/>
        <sz val="12"/>
        <rFont val="Arial"/>
        <family val="2"/>
      </rPr>
      <t xml:space="preserve"> c</t>
    </r>
    <r>
      <rPr>
        <i/>
        <vertAlign val="subscript"/>
        <sz val="12"/>
        <rFont val="Arial"/>
        <family val="2"/>
      </rPr>
      <t>A</t>
    </r>
    <r>
      <rPr>
        <i/>
        <sz val="12"/>
        <rFont val="Arial"/>
        <family val="2"/>
      </rPr>
      <t xml:space="preserve">, </t>
    </r>
    <r>
      <rPr>
        <sz val="12"/>
        <rFont val="Arial"/>
        <family val="2"/>
      </rPr>
      <t>Seitenverhältnis</t>
    </r>
    <r>
      <rPr>
        <i/>
        <sz val="12"/>
        <rFont val="Arial"/>
        <family val="2"/>
      </rPr>
      <t xml:space="preserve"> </t>
    </r>
    <r>
      <rPr>
        <i/>
        <sz val="12"/>
        <rFont val="Symbol"/>
        <family val="1"/>
      </rPr>
      <t>L</t>
    </r>
  </si>
  <si>
    <r>
      <t xml:space="preserve">Gleitzahl, Widerstand </t>
    </r>
    <r>
      <rPr>
        <i/>
        <sz val="12"/>
        <rFont val="Arial"/>
        <family val="2"/>
      </rPr>
      <t>W</t>
    </r>
  </si>
  <si>
    <t>Vorgaben</t>
  </si>
  <si>
    <t>Zähigkeit, Dichte Luft bei 20°</t>
  </si>
  <si>
    <r>
      <t xml:space="preserve">Flächenbelastung </t>
    </r>
    <r>
      <rPr>
        <sz val="12"/>
        <rFont val="Symbol"/>
        <family val="1"/>
      </rPr>
      <t>g</t>
    </r>
    <r>
      <rPr>
        <sz val="12"/>
        <rFont val="Arial"/>
        <family val="2"/>
      </rPr>
      <t xml:space="preserve"> , 3D Beiwert </t>
    </r>
    <r>
      <rPr>
        <i/>
        <sz val="12"/>
        <rFont val="Arial"/>
        <family val="2"/>
      </rPr>
      <t>c</t>
    </r>
    <r>
      <rPr>
        <i/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</t>
    </r>
  </si>
  <si>
    <r>
      <t xml:space="preserve">Drehachse </t>
    </r>
    <r>
      <rPr>
        <i/>
        <sz val="12"/>
        <rFont val="Arial"/>
        <family val="2"/>
      </rPr>
      <t>x</t>
    </r>
    <r>
      <rPr>
        <i/>
        <vertAlign val="subscript"/>
        <sz val="12"/>
        <rFont val="Arial"/>
        <family val="2"/>
      </rPr>
      <t>D</t>
    </r>
    <r>
      <rPr>
        <i/>
        <sz val="12"/>
        <rFont val="Arial"/>
        <family val="2"/>
      </rPr>
      <t>/</t>
    </r>
    <r>
      <rPr>
        <i/>
        <sz val="12"/>
        <rFont val="MT Extra"/>
        <family val="1"/>
      </rPr>
      <t>l</t>
    </r>
    <r>
      <rPr>
        <i/>
        <sz val="12"/>
        <rFont val="Arial"/>
        <family val="2"/>
      </rPr>
      <t xml:space="preserve">, </t>
    </r>
    <r>
      <rPr>
        <sz val="12"/>
        <rFont val="Arial"/>
        <family val="2"/>
      </rPr>
      <t xml:space="preserve">Zuspitzung </t>
    </r>
    <r>
      <rPr>
        <i/>
        <sz val="12"/>
        <rFont val="Symbol"/>
        <family val="1"/>
      </rPr>
      <t>d</t>
    </r>
  </si>
  <si>
    <r>
      <t xml:space="preserve">Flügelfläche </t>
    </r>
    <r>
      <rPr>
        <i/>
        <sz val="12"/>
        <rFont val="Arial"/>
        <family val="2"/>
      </rPr>
      <t>S,</t>
    </r>
    <r>
      <rPr>
        <sz val="12"/>
        <rFont val="Arial"/>
        <family val="2"/>
      </rPr>
      <t xml:space="preserve"> Spannweite </t>
    </r>
    <r>
      <rPr>
        <i/>
        <sz val="12"/>
        <rFont val="Arial"/>
        <family val="2"/>
      </rPr>
      <t>b</t>
    </r>
  </si>
  <si>
    <t>Flügeltiefe Wurzel, Spitze</t>
  </si>
  <si>
    <r>
      <t xml:space="preserve">Geschwindigkeit </t>
    </r>
    <r>
      <rPr>
        <i/>
        <sz val="12"/>
        <rFont val="Arial"/>
        <family val="2"/>
      </rPr>
      <t>u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, Leistung </t>
    </r>
    <r>
      <rPr>
        <i/>
        <sz val="12"/>
        <rFont val="Arial"/>
        <family val="2"/>
      </rPr>
      <t>P</t>
    </r>
  </si>
  <si>
    <r>
      <t xml:space="preserve">Staudruck </t>
    </r>
    <r>
      <rPr>
        <i/>
        <sz val="12"/>
        <rFont val="Arial"/>
        <family val="2"/>
      </rPr>
      <t>q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, spez. Leistung </t>
    </r>
    <r>
      <rPr>
        <i/>
        <sz val="12"/>
        <rFont val="Arial"/>
        <family val="2"/>
      </rPr>
      <t>w</t>
    </r>
  </si>
  <si>
    <t xml:space="preserve"> W/kg</t>
  </si>
  <si>
    <t xml:space="preserve">Schwerebeschleunigung g </t>
  </si>
  <si>
    <t>m/s2</t>
  </si>
  <si>
    <r>
      <t xml:space="preserve">Zugehörige Schlagfrequenz </t>
    </r>
    <r>
      <rPr>
        <i/>
        <sz val="12"/>
        <rFont val="Arial"/>
        <family val="2"/>
      </rPr>
      <t>f</t>
    </r>
  </si>
  <si>
    <r>
      <t xml:space="preserve">Wirkungsgrad </t>
    </r>
    <r>
      <rPr>
        <i/>
        <sz val="12"/>
        <rFont val="Symbol"/>
        <family val="1"/>
      </rPr>
      <t>h</t>
    </r>
    <r>
      <rPr>
        <sz val="12"/>
        <rFont val="Arial"/>
        <family val="2"/>
      </rPr>
      <t xml:space="preserve">, Phasenvoreilung </t>
    </r>
    <r>
      <rPr>
        <i/>
        <sz val="12"/>
        <rFont val="Symbol"/>
        <family val="1"/>
      </rPr>
      <t>k</t>
    </r>
  </si>
  <si>
    <t>Feste Kerndaten</t>
  </si>
  <si>
    <t>sin (kappa)</t>
  </si>
  <si>
    <t>Ermittelte Vorgaben</t>
  </si>
  <si>
    <t>sin (kappa)**2</t>
  </si>
  <si>
    <r>
      <t xml:space="preserve">Amplitudenverhältnis </t>
    </r>
    <r>
      <rPr>
        <i/>
        <sz val="12"/>
        <rFont val="Symbol"/>
        <family val="1"/>
      </rPr>
      <t xml:space="preserve">l </t>
    </r>
  </si>
  <si>
    <t>Resultate (Theorie ebene Platte 2D)</t>
  </si>
  <si>
    <t>Wirkungsgrad - Erzielt / Vorgabe</t>
  </si>
  <si>
    <t>Näherung für Wirkungsgrad</t>
  </si>
  <si>
    <t>a.lin</t>
  </si>
  <si>
    <r>
      <t>Formfaktor</t>
    </r>
    <r>
      <rPr>
        <i/>
        <sz val="12"/>
        <rFont val="Arial"/>
        <family val="2"/>
      </rPr>
      <t xml:space="preserve"> f.P</t>
    </r>
    <r>
      <rPr>
        <sz val="12"/>
        <rFont val="Arial"/>
        <family val="2"/>
      </rPr>
      <t xml:space="preserve"> für Leistung</t>
    </r>
  </si>
  <si>
    <r>
      <t xml:space="preserve">Mittlere Flügeltiefe </t>
    </r>
    <r>
      <rPr>
        <sz val="12"/>
        <rFont val="MT Extra"/>
        <family val="1"/>
      </rPr>
      <t>l</t>
    </r>
    <r>
      <rPr>
        <sz val="12"/>
        <rFont val="Arial"/>
        <family val="2"/>
      </rPr>
      <t>, Starre Drehung</t>
    </r>
  </si>
  <si>
    <t>rad</t>
  </si>
  <si>
    <t xml:space="preserve">Drehamplitude Flügelspitze </t>
  </si>
  <si>
    <t>h.0/(l/2)</t>
  </si>
  <si>
    <t>Schlagamplitude Flügelspitze</t>
  </si>
  <si>
    <t>Drehamplitude aus Schlagen</t>
  </si>
  <si>
    <t>Effektive Anstellamplitude</t>
  </si>
  <si>
    <t xml:space="preserve">Nasenschub, Kraft und Leistung </t>
  </si>
  <si>
    <t xml:space="preserve">Schubleistung aus Querkräften </t>
  </si>
  <si>
    <t>Flächenleistung - Spez. Leistung</t>
  </si>
  <si>
    <t>W/kg</t>
  </si>
  <si>
    <t>Amplituden Flügelspitze, Schlag - Drehen</t>
  </si>
  <si>
    <t>Schubleistung aus Nasenschub, Freq.</t>
  </si>
  <si>
    <r>
      <t>Reduzierte Frequenz</t>
    </r>
    <r>
      <rPr>
        <sz val="12"/>
        <rFont val="SymbolProp BT"/>
        <family val="0"/>
      </rPr>
      <t xml:space="preserve"> </t>
    </r>
    <r>
      <rPr>
        <sz val="12"/>
        <rFont val="Symbol"/>
        <family val="1"/>
      </rPr>
      <t>w</t>
    </r>
    <r>
      <rPr>
        <sz val="12"/>
        <rFont val="Arial"/>
        <family val="2"/>
      </rPr>
      <t>*, bezogen auf</t>
    </r>
    <r>
      <rPr>
        <sz val="12"/>
        <rFont val="MT Extra"/>
        <family val="1"/>
      </rPr>
      <t xml:space="preserve"> l</t>
    </r>
  </si>
  <si>
    <t>Schlag- und Drehleistung</t>
  </si>
  <si>
    <r>
      <t xml:space="preserve">Geometrischer Anstellwinkel </t>
    </r>
    <r>
      <rPr>
        <sz val="12"/>
        <rFont val="Symbol"/>
        <family val="1"/>
      </rPr>
      <t>a</t>
    </r>
    <r>
      <rPr>
        <vertAlign val="subscript"/>
        <sz val="11"/>
        <rFont val="Arial"/>
        <family val="2"/>
      </rPr>
      <t>0</t>
    </r>
  </si>
  <si>
    <t>Auslegung A3T - Modell "Ultraleicht"</t>
  </si>
  <si>
    <t>Wesentliche</t>
  </si>
  <si>
    <t>Ergebnisse</t>
  </si>
  <si>
    <t>Schubleistung -  Widerstandsbeiwert</t>
  </si>
  <si>
    <t>natrs03_modellultra_send.xls</t>
  </si>
  <si>
    <t>Schlag- und Drehleistung, Schubkraft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</si>
</sst>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E+00"/>
    <numFmt numFmtId="165" formatCode="0.000"/>
    <numFmt numFmtId="166" formatCode="0.0000"/>
    <numFmt numFmtId="167" formatCode="0.000E+00"/>
    <numFmt numFmtId="168" formatCode="0.E+00"/>
    <numFmt numFmtId="169" formatCode="0.0"/>
    <numFmt numFmtId="170" formatCode="#,##0.000"/>
    <numFmt numFmtId="171" formatCode="#,##0.000000"/>
    <numFmt numFmtId="172" formatCode="0.000000"/>
    <numFmt numFmtId="173" formatCode="#,##0.0"/>
    <numFmt numFmtId="174" formatCode="0.00000E+00"/>
    <numFmt numFmtId="175" formatCode="#,##0.0000"/>
  </numFmts>
  <fonts count="28">
    <font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i/>
      <vertAlign val="subscript"/>
      <sz val="12"/>
      <name val="Arial"/>
      <family val="2"/>
    </font>
    <font>
      <b/>
      <sz val="12"/>
      <name val="Arial"/>
      <family val="2"/>
    </font>
    <font>
      <sz val="12"/>
      <name val="SymbolProp BT"/>
      <family val="1"/>
    </font>
    <font>
      <vertAlign val="subscript"/>
      <sz val="12"/>
      <name val="Arial"/>
      <family val="2"/>
    </font>
    <font>
      <sz val="12"/>
      <name val="MT Extra"/>
      <family val="1"/>
    </font>
    <font>
      <b/>
      <sz val="16"/>
      <name val="SymbolProp BT"/>
      <family val="1"/>
    </font>
    <font>
      <sz val="16"/>
      <name val="SymbolProp BT"/>
      <family val="1"/>
    </font>
    <font>
      <sz val="12"/>
      <color indexed="9"/>
      <name val="Arial"/>
      <family val="2"/>
    </font>
    <font>
      <sz val="10"/>
      <color indexed="9"/>
      <name val="Arial"/>
      <family val="2"/>
    </font>
    <font>
      <i/>
      <sz val="12"/>
      <name val="MT Extra"/>
      <family val="1"/>
    </font>
    <font>
      <b/>
      <sz val="14"/>
      <name val="Arial"/>
      <family val="2"/>
    </font>
    <font>
      <sz val="12"/>
      <color indexed="12"/>
      <name val="Arial"/>
      <family val="2"/>
    </font>
    <font>
      <sz val="12"/>
      <color indexed="1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SymbolProp BT"/>
      <family val="1"/>
    </font>
    <font>
      <sz val="14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vertAlign val="subscript"/>
      <sz val="11"/>
      <name val="Arial"/>
      <family val="2"/>
    </font>
    <font>
      <b/>
      <sz val="8"/>
      <name val="Arial"/>
      <family val="2"/>
    </font>
    <font>
      <i/>
      <sz val="12"/>
      <name val="Symbol"/>
      <family val="1"/>
    </font>
    <font>
      <sz val="12"/>
      <name val="Symbol"/>
      <family val="1"/>
    </font>
    <font>
      <sz val="16"/>
      <name val="Symbol"/>
      <family val="1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0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right"/>
    </xf>
    <xf numFmtId="49" fontId="20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18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right"/>
    </xf>
    <xf numFmtId="2" fontId="18" fillId="2" borderId="0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center"/>
    </xf>
    <xf numFmtId="49" fontId="18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 horizontal="right"/>
    </xf>
    <xf numFmtId="2" fontId="11" fillId="2" borderId="0" xfId="0" applyNumberFormat="1" applyFont="1" applyFill="1" applyBorder="1" applyAlignment="1" applyProtection="1">
      <alignment horizontal="right"/>
      <protection hidden="1" locked="0"/>
    </xf>
    <xf numFmtId="165" fontId="1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2" fontId="11" fillId="2" borderId="0" xfId="0" applyNumberFormat="1" applyFont="1" applyFill="1" applyBorder="1" applyAlignment="1">
      <alignment horizontal="right"/>
    </xf>
    <xf numFmtId="170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73" fontId="1" fillId="2" borderId="0" xfId="0" applyNumberFormat="1" applyFont="1" applyFill="1" applyBorder="1" applyAlignment="1">
      <alignment horizontal="right"/>
    </xf>
    <xf numFmtId="164" fontId="21" fillId="2" borderId="0" xfId="0" applyNumberFormat="1" applyFont="1" applyFill="1" applyBorder="1" applyAlignment="1">
      <alignment horizontal="right"/>
    </xf>
    <xf numFmtId="0" fontId="21" fillId="2" borderId="0" xfId="0" applyNumberFormat="1" applyFont="1" applyFill="1" applyBorder="1" applyAlignment="1">
      <alignment horizontal="center"/>
    </xf>
    <xf numFmtId="2" fontId="21" fillId="2" borderId="0" xfId="0" applyNumberFormat="1" applyFont="1" applyFill="1" applyBorder="1" applyAlignment="1">
      <alignment horizontal="right"/>
    </xf>
    <xf numFmtId="49" fontId="21" fillId="2" borderId="0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right"/>
    </xf>
    <xf numFmtId="167" fontId="11" fillId="2" borderId="0" xfId="0" applyNumberFormat="1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 applyProtection="1">
      <alignment horizontal="right"/>
      <protection locked="0"/>
    </xf>
    <xf numFmtId="0" fontId="11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166" fontId="15" fillId="2" borderId="0" xfId="0" applyNumberFormat="1" applyFont="1" applyFill="1" applyBorder="1" applyAlignment="1">
      <alignment horizontal="right"/>
    </xf>
    <xf numFmtId="0" fontId="15" fillId="2" borderId="0" xfId="0" applyNumberFormat="1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/>
    </xf>
    <xf numFmtId="166" fontId="16" fillId="2" borderId="0" xfId="0" applyNumberFormat="1" applyFont="1" applyFill="1" applyBorder="1" applyAlignment="1">
      <alignment horizontal="right"/>
    </xf>
    <xf numFmtId="0" fontId="16" fillId="2" borderId="0" xfId="0" applyNumberFormat="1" applyFont="1" applyFill="1" applyBorder="1" applyAlignment="1">
      <alignment horizontal="center"/>
    </xf>
    <xf numFmtId="2" fontId="16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 applyProtection="1">
      <alignment horizontal="right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165" fontId="11" fillId="2" borderId="0" xfId="0" applyNumberFormat="1" applyFont="1" applyFill="1" applyBorder="1" applyAlignment="1" applyProtection="1">
      <alignment/>
      <protection locked="0"/>
    </xf>
    <xf numFmtId="0" fontId="14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9" fontId="1" fillId="2" borderId="0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11" fontId="1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4" borderId="1" xfId="0" applyFont="1" applyFill="1" applyBorder="1" applyAlignment="1">
      <alignment/>
    </xf>
    <xf numFmtId="13" fontId="1" fillId="2" borderId="0" xfId="0" applyNumberFormat="1" applyFont="1" applyFill="1" applyBorder="1" applyAlignment="1">
      <alignment horizontal="right"/>
    </xf>
    <xf numFmtId="11" fontId="1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174" fontId="11" fillId="2" borderId="0" xfId="0" applyNumberFormat="1" applyFont="1" applyFill="1" applyBorder="1" applyAlignment="1" applyProtection="1">
      <alignment horizontal="right"/>
      <protection locked="0"/>
    </xf>
    <xf numFmtId="0" fontId="18" fillId="3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169" fontId="1" fillId="2" borderId="0" xfId="0" applyNumberFormat="1" applyFont="1" applyFill="1" applyBorder="1" applyAlignment="1" applyProtection="1">
      <alignment horizontal="right"/>
      <protection hidden="1" locked="0"/>
    </xf>
    <xf numFmtId="169" fontId="1" fillId="4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0" fontId="11" fillId="2" borderId="0" xfId="0" applyFont="1" applyFill="1" applyAlignment="1">
      <alignment/>
    </xf>
    <xf numFmtId="4" fontId="1" fillId="2" borderId="0" xfId="0" applyNumberFormat="1" applyFont="1" applyFill="1" applyBorder="1" applyAlignment="1">
      <alignment horizontal="right"/>
    </xf>
    <xf numFmtId="0" fontId="5" fillId="6" borderId="2" xfId="0" applyFont="1" applyFill="1" applyBorder="1" applyAlignment="1">
      <alignment/>
    </xf>
    <xf numFmtId="2" fontId="1" fillId="6" borderId="3" xfId="0" applyNumberFormat="1" applyFont="1" applyFill="1" applyBorder="1" applyAlignment="1">
      <alignment horizontal="right"/>
    </xf>
    <xf numFmtId="0" fontId="1" fillId="6" borderId="3" xfId="0" applyNumberFormat="1" applyFont="1" applyFill="1" applyBorder="1" applyAlignment="1">
      <alignment horizontal="center"/>
    </xf>
    <xf numFmtId="2" fontId="5" fillId="6" borderId="2" xfId="0" applyNumberFormat="1" applyFont="1" applyFill="1" applyBorder="1" applyAlignment="1">
      <alignment horizontal="left"/>
    </xf>
    <xf numFmtId="49" fontId="22" fillId="6" borderId="4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/>
    </xf>
    <xf numFmtId="4" fontId="1" fillId="6" borderId="1" xfId="0" applyNumberFormat="1" applyFont="1" applyFill="1" applyBorder="1" applyAlignment="1">
      <alignment horizontal="right"/>
    </xf>
    <xf numFmtId="0" fontId="1" fillId="6" borderId="2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173" fontId="1" fillId="6" borderId="1" xfId="0" applyNumberFormat="1" applyFont="1" applyFill="1" applyBorder="1" applyAlignment="1">
      <alignment horizontal="right"/>
    </xf>
    <xf numFmtId="2" fontId="1" fillId="6" borderId="1" xfId="0" applyNumberFormat="1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/>
    </xf>
    <xf numFmtId="49" fontId="12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27" fillId="2" borderId="0" xfId="0" applyFont="1" applyFill="1" applyAlignment="1">
      <alignment horizontal="right"/>
    </xf>
    <xf numFmtId="0" fontId="18" fillId="6" borderId="1" xfId="0" applyFont="1" applyFill="1" applyBorder="1" applyAlignment="1">
      <alignment/>
    </xf>
    <xf numFmtId="0" fontId="18" fillId="7" borderId="1" xfId="0" applyFont="1" applyFill="1" applyBorder="1" applyAlignment="1">
      <alignment/>
    </xf>
    <xf numFmtId="169" fontId="1" fillId="7" borderId="1" xfId="0" applyNumberFormat="1" applyFont="1" applyFill="1" applyBorder="1" applyAlignment="1">
      <alignment horizontal="right"/>
    </xf>
    <xf numFmtId="170" fontId="1" fillId="6" borderId="1" xfId="0" applyNumberFormat="1" applyFont="1" applyFill="1" applyBorder="1" applyAlignment="1">
      <alignment horizontal="right"/>
    </xf>
    <xf numFmtId="2" fontId="1" fillId="7" borderId="1" xfId="0" applyNumberFormat="1" applyFont="1" applyFill="1" applyBorder="1" applyAlignment="1" applyProtection="1">
      <alignment horizontal="right"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/>
        <i val="0"/>
        <color rgb="FFFF0000"/>
      </font>
      <border/>
    </dxf>
    <dxf>
      <font>
        <color rgb="FFFF0000"/>
      </font>
      <border/>
    </dxf>
    <dxf>
      <font>
        <b val="0"/>
        <i val="0"/>
        <color auto="1"/>
      </font>
      <border/>
    </dxf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E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"/>
      <sheetName val="Loc Table"/>
    </sheetNames>
    <definedNames>
      <definedName name="IMPRODUCT"/>
      <definedName name="imsum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view="pageBreakPreview" zoomScaleSheetLayoutView="100" workbookViewId="0" topLeftCell="A2">
      <pane xSplit="10992" topLeftCell="J1" activePane="topLeft" state="split"/>
      <selection pane="topLeft" activeCell="E9" sqref="E9"/>
      <selection pane="topRight" activeCell="K21" sqref="K21"/>
    </sheetView>
  </sheetViews>
  <sheetFormatPr defaultColWidth="11.421875" defaultRowHeight="12.75"/>
  <cols>
    <col min="1" max="1" width="5.7109375" style="0" customWidth="1"/>
    <col min="2" max="2" width="42.140625" style="0" customWidth="1"/>
    <col min="3" max="3" width="12.7109375" style="0" customWidth="1"/>
    <col min="4" max="4" width="10.7109375" style="0" customWidth="1"/>
    <col min="5" max="5" width="13.28125" style="0" customWidth="1"/>
    <col min="6" max="6" width="13.57421875" style="0" customWidth="1"/>
    <col min="8" max="8" width="5.8515625" style="0" customWidth="1"/>
  </cols>
  <sheetData>
    <row r="1" spans="1:7" s="19" customFormat="1" ht="17.25">
      <c r="A1" s="24"/>
      <c r="B1" s="74" t="s">
        <v>98</v>
      </c>
      <c r="C1" s="24"/>
      <c r="D1" s="24"/>
      <c r="E1" s="25"/>
      <c r="F1" s="26" t="s">
        <v>51</v>
      </c>
      <c r="G1" s="18"/>
    </row>
    <row r="2" spans="1:7" ht="12.75">
      <c r="A2" s="27"/>
      <c r="B2" s="27" t="s">
        <v>26</v>
      </c>
      <c r="C2" s="27"/>
      <c r="D2" s="27"/>
      <c r="E2" s="27"/>
      <c r="F2" s="70" t="s">
        <v>102</v>
      </c>
      <c r="G2" s="14"/>
    </row>
    <row r="3" spans="1:7" s="21" customFormat="1" ht="12" customHeight="1">
      <c r="A3" s="28"/>
      <c r="B3" s="80"/>
      <c r="C3" s="90" t="s">
        <v>72</v>
      </c>
      <c r="D3" s="113" t="s">
        <v>99</v>
      </c>
      <c r="E3" s="28"/>
      <c r="F3" s="75" t="s">
        <v>52</v>
      </c>
      <c r="G3" s="20"/>
    </row>
    <row r="4" spans="1:7" s="21" customFormat="1" ht="12" customHeight="1">
      <c r="A4" s="28"/>
      <c r="B4" s="88" t="s">
        <v>53</v>
      </c>
      <c r="C4" s="91" t="s">
        <v>59</v>
      </c>
      <c r="D4" s="114" t="s">
        <v>100</v>
      </c>
      <c r="E4" s="28"/>
      <c r="F4" s="75"/>
      <c r="G4" s="20"/>
    </row>
    <row r="5" spans="1:7" s="21" customFormat="1" ht="12" customHeight="1">
      <c r="A5" s="28"/>
      <c r="B5" s="80"/>
      <c r="C5" s="87"/>
      <c r="D5" s="28"/>
      <c r="E5" s="28"/>
      <c r="F5" s="75"/>
      <c r="G5" s="20"/>
    </row>
    <row r="6" spans="1:7" s="21" customFormat="1" ht="21">
      <c r="A6" s="29"/>
      <c r="B6" s="97" t="s">
        <v>77</v>
      </c>
      <c r="C6" s="98"/>
      <c r="D6" s="99"/>
      <c r="E6" s="100" t="s">
        <v>6</v>
      </c>
      <c r="F6" s="101"/>
      <c r="G6" s="20"/>
    </row>
    <row r="7" spans="1:7" s="21" customFormat="1" ht="21">
      <c r="A7" s="29"/>
      <c r="B7" s="102" t="s">
        <v>101</v>
      </c>
      <c r="C7" s="108">
        <f>C66</f>
        <v>-478.68645509498924</v>
      </c>
      <c r="D7" s="104" t="s">
        <v>15</v>
      </c>
      <c r="E7" s="116">
        <f>E25/E34</f>
        <v>0.032</v>
      </c>
      <c r="F7" s="105" t="s">
        <v>36</v>
      </c>
      <c r="G7" s="20"/>
    </row>
    <row r="8" spans="1:7" s="21" customFormat="1" ht="21">
      <c r="A8" s="29"/>
      <c r="B8" s="102" t="s">
        <v>103</v>
      </c>
      <c r="C8" s="108">
        <f>C68</f>
        <v>596.0337571316895</v>
      </c>
      <c r="D8" s="104" t="s">
        <v>15</v>
      </c>
      <c r="E8" s="108">
        <f>-E16</f>
        <v>-40</v>
      </c>
      <c r="F8" s="105" t="s">
        <v>1</v>
      </c>
      <c r="G8" s="20"/>
    </row>
    <row r="9" spans="1:7" s="21" customFormat="1" ht="21">
      <c r="A9" s="29"/>
      <c r="B9" s="102" t="s">
        <v>94</v>
      </c>
      <c r="C9" s="108">
        <f>E70</f>
        <v>-37.180956144423995</v>
      </c>
      <c r="D9" s="104" t="s">
        <v>15</v>
      </c>
      <c r="E9" s="103">
        <f>C28</f>
        <v>0.42452382906032343</v>
      </c>
      <c r="F9" s="105" t="s">
        <v>5</v>
      </c>
      <c r="G9" s="20"/>
    </row>
    <row r="10" spans="1:7" s="21" customFormat="1" ht="21">
      <c r="A10" s="29"/>
      <c r="B10" s="102" t="s">
        <v>93</v>
      </c>
      <c r="C10" s="108">
        <f>C64</f>
        <v>25.24355257355116</v>
      </c>
      <c r="D10" s="104" t="s">
        <v>10</v>
      </c>
      <c r="E10" s="103">
        <f>C62</f>
        <v>1.664090301688175</v>
      </c>
      <c r="F10" s="105" t="s">
        <v>2</v>
      </c>
      <c r="G10" s="20"/>
    </row>
    <row r="11" spans="1:7" s="21" customFormat="1" ht="21">
      <c r="A11" s="29"/>
      <c r="B11" s="102" t="s">
        <v>91</v>
      </c>
      <c r="C11" s="106">
        <f>C8/C20</f>
        <v>41.12632924208657</v>
      </c>
      <c r="D11" s="104" t="s">
        <v>39</v>
      </c>
      <c r="E11" s="106">
        <f>E33</f>
        <v>4.693999378661465</v>
      </c>
      <c r="F11" s="105" t="s">
        <v>92</v>
      </c>
      <c r="G11" s="20"/>
    </row>
    <row r="12" spans="1:7" s="21" customFormat="1" ht="21">
      <c r="A12" s="29"/>
      <c r="B12" s="102" t="s">
        <v>78</v>
      </c>
      <c r="C12" s="107">
        <f>C67*100</f>
        <v>80.31088366210565</v>
      </c>
      <c r="D12" s="104" t="s">
        <v>11</v>
      </c>
      <c r="E12" s="107">
        <f>C27*100</f>
        <v>77</v>
      </c>
      <c r="F12" s="105" t="s">
        <v>11</v>
      </c>
      <c r="G12" s="20"/>
    </row>
    <row r="13" spans="1:7" s="21" customFormat="1" ht="12" customHeight="1">
      <c r="A13" s="28"/>
      <c r="B13" s="80"/>
      <c r="C13" s="87"/>
      <c r="D13" s="28"/>
      <c r="E13" s="28"/>
      <c r="F13" s="75"/>
      <c r="G13" s="20"/>
    </row>
    <row r="14" spans="1:7" s="21" customFormat="1" ht="21">
      <c r="A14" s="29"/>
      <c r="B14" s="30" t="s">
        <v>54</v>
      </c>
      <c r="C14" s="31"/>
      <c r="D14" s="32" t="s">
        <v>7</v>
      </c>
      <c r="E14" s="31"/>
      <c r="F14" s="33" t="s">
        <v>7</v>
      </c>
      <c r="G14" s="20"/>
    </row>
    <row r="15" spans="1:7" s="21" customFormat="1" ht="21">
      <c r="A15" s="111" t="s">
        <v>40</v>
      </c>
      <c r="B15" s="39" t="s">
        <v>56</v>
      </c>
      <c r="C15" s="78">
        <v>6.9</v>
      </c>
      <c r="D15" s="32" t="s">
        <v>55</v>
      </c>
      <c r="E15" s="78">
        <v>1000</v>
      </c>
      <c r="F15" s="33" t="s">
        <v>1</v>
      </c>
      <c r="G15" s="20"/>
    </row>
    <row r="16" spans="1:7" s="21" customFormat="1" ht="21">
      <c r="A16" s="29" t="s">
        <v>40</v>
      </c>
      <c r="B16" s="39" t="s">
        <v>58</v>
      </c>
      <c r="C16" s="93">
        <v>25</v>
      </c>
      <c r="D16" s="32"/>
      <c r="E16" s="31">
        <f>E15/C16</f>
        <v>40</v>
      </c>
      <c r="F16" s="33" t="s">
        <v>1</v>
      </c>
      <c r="G16" s="20"/>
    </row>
    <row r="17" spans="1:7" s="21" customFormat="1" ht="21">
      <c r="A17" s="29"/>
      <c r="B17" s="39" t="s">
        <v>57</v>
      </c>
      <c r="C17" s="79">
        <f>1</f>
        <v>1</v>
      </c>
      <c r="D17" s="32"/>
      <c r="E17" s="79">
        <v>8</v>
      </c>
      <c r="F17" s="33" t="s">
        <v>36</v>
      </c>
      <c r="G17" s="20"/>
    </row>
    <row r="18" spans="1:7" s="21" customFormat="1" ht="21">
      <c r="A18" s="29"/>
      <c r="B18" s="39" t="s">
        <v>61</v>
      </c>
      <c r="C18" s="31">
        <f>C15*POWER(E15,1/3)</f>
        <v>68.99999999999999</v>
      </c>
      <c r="D18" s="32" t="s">
        <v>14</v>
      </c>
      <c r="E18" s="31">
        <f>C17*E17/(E17+2)</f>
        <v>0.8</v>
      </c>
      <c r="F18" s="33" t="s">
        <v>37</v>
      </c>
      <c r="G18" s="20"/>
    </row>
    <row r="19" spans="1:7" s="21" customFormat="1" ht="21">
      <c r="A19" s="38" t="s">
        <v>40</v>
      </c>
      <c r="B19" s="39" t="s">
        <v>62</v>
      </c>
      <c r="C19" s="79">
        <v>0.25</v>
      </c>
      <c r="D19" s="32" t="s">
        <v>36</v>
      </c>
      <c r="E19" s="79">
        <v>0.5</v>
      </c>
      <c r="F19" s="33" t="s">
        <v>36</v>
      </c>
      <c r="G19" s="20"/>
    </row>
    <row r="20" spans="1:7" ht="21">
      <c r="A20" s="29"/>
      <c r="B20" s="39" t="s">
        <v>63</v>
      </c>
      <c r="C20" s="117">
        <f>E15/C18</f>
        <v>14.492753623188408</v>
      </c>
      <c r="D20" s="32" t="s">
        <v>3</v>
      </c>
      <c r="E20" s="31">
        <f>SQRT(C20*E17)</f>
        <v>10.76763804116331</v>
      </c>
      <c r="F20" s="33" t="s">
        <v>2</v>
      </c>
      <c r="G20" s="14"/>
    </row>
    <row r="21" spans="1:7" ht="21">
      <c r="A21" s="29"/>
      <c r="B21" s="39" t="s">
        <v>64</v>
      </c>
      <c r="C21" s="31">
        <f>2*C20/(E20*(1+E19))</f>
        <v>1.794606340193885</v>
      </c>
      <c r="D21" s="32" t="s">
        <v>2</v>
      </c>
      <c r="E21" s="31">
        <f>C21*E19</f>
        <v>0.8973031700969425</v>
      </c>
      <c r="F21" s="33" t="s">
        <v>2</v>
      </c>
      <c r="G21" s="14"/>
    </row>
    <row r="22" spans="1:7" ht="21">
      <c r="A22" s="29"/>
      <c r="B22" s="39" t="s">
        <v>82</v>
      </c>
      <c r="C22" s="31">
        <f>(C21+E21)/2</f>
        <v>1.3459547551454136</v>
      </c>
      <c r="D22" s="32" t="s">
        <v>2</v>
      </c>
      <c r="E22" s="110">
        <f>0</f>
        <v>0</v>
      </c>
      <c r="F22" s="33" t="s">
        <v>80</v>
      </c>
      <c r="G22" s="14"/>
    </row>
    <row r="23" spans="1:7" ht="21">
      <c r="A23" s="29"/>
      <c r="B23" s="39" t="s">
        <v>81</v>
      </c>
      <c r="C23" s="31">
        <f>(1+3*E19+2*E22*(1+E19)+POWER(E22,2)*(3+E19))/(6*(1+E19))</f>
        <v>0.2777777777777778</v>
      </c>
      <c r="D23" s="32" t="s">
        <v>37</v>
      </c>
      <c r="E23" s="110"/>
      <c r="F23" s="33"/>
      <c r="G23" s="14"/>
    </row>
    <row r="24" spans="1:7" s="17" customFormat="1" ht="21">
      <c r="A24" s="29"/>
      <c r="B24" s="30" t="s">
        <v>41</v>
      </c>
      <c r="C24" s="31"/>
      <c r="D24" s="32"/>
      <c r="E24" s="41"/>
      <c r="F24" s="33"/>
      <c r="G24" s="16"/>
    </row>
    <row r="25" spans="1:7" s="17" customFormat="1" ht="21">
      <c r="A25" s="29"/>
      <c r="B25" s="39" t="s">
        <v>65</v>
      </c>
      <c r="C25" s="115">
        <f>SQRT(2*C33/E31)</f>
        <v>11.967161377374733</v>
      </c>
      <c r="D25" s="32" t="s">
        <v>0</v>
      </c>
      <c r="E25" s="43">
        <f>E16*C25</f>
        <v>478.68645509498936</v>
      </c>
      <c r="F25" s="33" t="s">
        <v>15</v>
      </c>
      <c r="G25" s="16"/>
    </row>
    <row r="26" spans="1:7" s="17" customFormat="1" ht="21">
      <c r="A26" s="112" t="s">
        <v>40</v>
      </c>
      <c r="B26" s="82" t="s">
        <v>95</v>
      </c>
      <c r="C26" s="84">
        <v>0.15</v>
      </c>
      <c r="D26" s="83" t="s">
        <v>36</v>
      </c>
      <c r="E26" s="82">
        <f>C26*2</f>
        <v>0.3</v>
      </c>
      <c r="F26" s="83" t="s">
        <v>36</v>
      </c>
      <c r="G26" s="16"/>
    </row>
    <row r="27" spans="1:7" s="17" customFormat="1" ht="21">
      <c r="A27" s="29" t="s">
        <v>12</v>
      </c>
      <c r="B27" s="39" t="s">
        <v>71</v>
      </c>
      <c r="C27" s="78">
        <v>0.77</v>
      </c>
      <c r="D27" s="32" t="s">
        <v>36</v>
      </c>
      <c r="E27" s="94">
        <v>94.62135169733959</v>
      </c>
      <c r="F27" s="33" t="s">
        <v>10</v>
      </c>
      <c r="G27" s="16"/>
    </row>
    <row r="28" spans="1:7" s="17" customFormat="1" ht="21">
      <c r="A28" s="29" t="s">
        <v>6</v>
      </c>
      <c r="B28" s="39" t="s">
        <v>70</v>
      </c>
      <c r="C28" s="77">
        <f>C26*C25/(2*PI()*C22/2)</f>
        <v>0.42452382906032343</v>
      </c>
      <c r="D28" s="32" t="s">
        <v>5</v>
      </c>
      <c r="E28" s="95">
        <f>SIN(E29)</f>
        <v>0.9967489225196436</v>
      </c>
      <c r="F28" s="95" t="s">
        <v>73</v>
      </c>
      <c r="G28" s="16"/>
    </row>
    <row r="29" spans="1:7" s="17" customFormat="1" ht="21">
      <c r="A29" s="29"/>
      <c r="B29" s="39" t="s">
        <v>97</v>
      </c>
      <c r="C29" s="77">
        <f>C64</f>
        <v>25.24355257355116</v>
      </c>
      <c r="D29" s="32" t="s">
        <v>10</v>
      </c>
      <c r="E29" s="42">
        <f>E27*PI()/180</f>
        <v>1.6514541298061007</v>
      </c>
      <c r="F29" s="69" t="s">
        <v>47</v>
      </c>
      <c r="G29" s="16"/>
    </row>
    <row r="30" spans="1:7" s="17" customFormat="1" ht="21">
      <c r="A30" s="29"/>
      <c r="B30" s="30" t="s">
        <v>50</v>
      </c>
      <c r="C30" s="47"/>
      <c r="D30" s="32"/>
      <c r="E30" s="31"/>
      <c r="F30" s="33"/>
      <c r="G30" s="16"/>
    </row>
    <row r="31" spans="1:7" s="17" customFormat="1" ht="21">
      <c r="A31" s="29" t="s">
        <v>6</v>
      </c>
      <c r="B31" s="39" t="s">
        <v>60</v>
      </c>
      <c r="C31" s="40">
        <v>1.819E-05</v>
      </c>
      <c r="D31" s="32" t="s">
        <v>8</v>
      </c>
      <c r="E31" s="47">
        <v>1.2045</v>
      </c>
      <c r="F31" s="33" t="s">
        <v>9</v>
      </c>
      <c r="G31" s="16"/>
    </row>
    <row r="32" spans="1:7" s="17" customFormat="1" ht="21">
      <c r="A32" s="29"/>
      <c r="B32" s="39" t="s">
        <v>68</v>
      </c>
      <c r="C32" s="47">
        <v>9.806</v>
      </c>
      <c r="D32" s="32" t="s">
        <v>69</v>
      </c>
      <c r="E32" s="31"/>
      <c r="F32" s="33"/>
      <c r="G32" s="16"/>
    </row>
    <row r="33" spans="1:7" s="17" customFormat="1" ht="21">
      <c r="A33" s="29"/>
      <c r="B33" s="39" t="s">
        <v>66</v>
      </c>
      <c r="C33" s="96">
        <f>E15/(E18*C20)</f>
        <v>86.24999999999999</v>
      </c>
      <c r="D33" s="32" t="s">
        <v>14</v>
      </c>
      <c r="E33" s="92">
        <f>E25/(E15/C32)</f>
        <v>4.693999378661465</v>
      </c>
      <c r="F33" s="33" t="s">
        <v>67</v>
      </c>
      <c r="G33" s="16"/>
    </row>
    <row r="34" spans="1:7" ht="21">
      <c r="A34" s="29"/>
      <c r="B34" s="39" t="s">
        <v>34</v>
      </c>
      <c r="C34" s="81">
        <f>C33*C20</f>
        <v>1250</v>
      </c>
      <c r="D34" s="32" t="s">
        <v>1</v>
      </c>
      <c r="E34" s="81">
        <f>C34*C25</f>
        <v>14958.951721718417</v>
      </c>
      <c r="F34" s="33" t="s">
        <v>15</v>
      </c>
      <c r="G34" s="14"/>
    </row>
    <row r="35" spans="1:7" ht="21">
      <c r="A35" s="29"/>
      <c r="B35" s="30" t="s">
        <v>74</v>
      </c>
      <c r="C35" s="85"/>
      <c r="D35" s="86"/>
      <c r="E35" s="81"/>
      <c r="F35" s="33"/>
      <c r="G35" s="14"/>
    </row>
    <row r="36" spans="1:7" ht="21">
      <c r="A36" s="29"/>
      <c r="B36" s="39" t="s">
        <v>79</v>
      </c>
      <c r="C36" s="96">
        <f>MIN((2-E36-2*SQRT(1-E36))/E36*0.999,C27)</f>
        <v>0.77</v>
      </c>
      <c r="D36" s="32" t="s">
        <v>36</v>
      </c>
      <c r="E36" s="73">
        <f>MAX(POWER(E28,2),0.0001)</f>
        <v>0.9935084145440706</v>
      </c>
      <c r="F36" s="109" t="s">
        <v>75</v>
      </c>
      <c r="G36" s="14"/>
    </row>
    <row r="37" spans="1:7" ht="21">
      <c r="A37" s="29"/>
      <c r="B37" s="39" t="s">
        <v>76</v>
      </c>
      <c r="C37" s="49">
        <f>E37/C26</f>
        <v>8.41859935163863</v>
      </c>
      <c r="D37" s="32" t="s">
        <v>36</v>
      </c>
      <c r="E37" s="73">
        <f>(E28*(1+C36)+SQRT(E36*(1+POWER(C36,2))-2*C36*(2-E36)))/(2*C36)</f>
        <v>1.2627899027457945</v>
      </c>
      <c r="F37" s="33"/>
      <c r="G37" s="14"/>
    </row>
    <row r="38" spans="1:7" ht="21">
      <c r="A38" s="29"/>
      <c r="B38" s="30" t="s">
        <v>4</v>
      </c>
      <c r="C38" s="31"/>
      <c r="D38" s="32"/>
      <c r="E38" s="31"/>
      <c r="F38" s="33"/>
      <c r="G38" s="14"/>
    </row>
    <row r="39" spans="1:7" ht="21">
      <c r="A39" s="29"/>
      <c r="B39" s="39" t="s">
        <v>49</v>
      </c>
      <c r="C39" s="46">
        <f>C26</f>
        <v>0.15</v>
      </c>
      <c r="D39" s="32" t="s">
        <v>6</v>
      </c>
      <c r="E39" s="42">
        <f>ATAN(2*C25*C39)</f>
        <v>1.2991419780985147</v>
      </c>
      <c r="F39" s="56" t="s">
        <v>43</v>
      </c>
      <c r="G39" s="14"/>
    </row>
    <row r="40" spans="1:7" ht="21">
      <c r="A40" s="29"/>
      <c r="B40" s="39" t="s">
        <v>48</v>
      </c>
      <c r="C40" s="48">
        <f>C22*C25*E31/C31</f>
        <v>1066585.595035222</v>
      </c>
      <c r="D40" s="32" t="s">
        <v>37</v>
      </c>
      <c r="E40" s="68">
        <f>E39+C27*PI()/180</f>
        <v>1.3125810133388711</v>
      </c>
      <c r="F40" s="56" t="s">
        <v>44</v>
      </c>
      <c r="G40" s="14"/>
    </row>
    <row r="41" spans="1:7" ht="21">
      <c r="A41" s="29"/>
      <c r="B41" s="30" t="s">
        <v>6</v>
      </c>
      <c r="C41" s="48"/>
      <c r="D41" s="32"/>
      <c r="E41" s="68">
        <f>C37</f>
        <v>8.41859935163863</v>
      </c>
      <c r="F41" s="56" t="s">
        <v>45</v>
      </c>
      <c r="G41" s="14"/>
    </row>
    <row r="42" spans="1:7" ht="21">
      <c r="A42" s="29"/>
      <c r="B42" s="30" t="s">
        <v>16</v>
      </c>
      <c r="C42" s="50"/>
      <c r="D42" s="51"/>
      <c r="E42" s="52"/>
      <c r="F42" s="53"/>
      <c r="G42" s="14"/>
    </row>
    <row r="43" spans="1:7" ht="21">
      <c r="A43" s="29"/>
      <c r="B43" s="39" t="s">
        <v>42</v>
      </c>
      <c r="C43" s="54"/>
      <c r="D43" s="55"/>
      <c r="E43" s="89" t="str">
        <f>_XLL.KOMPLEXE(BESSELJ(C39,0),-BESSELY(C39,0))</f>
        <v>0,994382907761519+1,27077637978886i</v>
      </c>
      <c r="F43" s="56" t="s">
        <v>18</v>
      </c>
      <c r="G43" s="14"/>
    </row>
    <row r="44" spans="1:7" s="17" customFormat="1" ht="21">
      <c r="A44" s="29"/>
      <c r="B44" s="39" t="s">
        <v>17</v>
      </c>
      <c r="C44" s="57" t="str">
        <f>IMDIV(E44,([1]!imsum(E44,_XLL.IMPRODUKT(_XLL.KOMPLEXE(0,1),E43))))</f>
        <v>0,772794630468484-0,186455638184398i</v>
      </c>
      <c r="D44" s="58"/>
      <c r="E44" s="44" t="str">
        <f>_XLL.KOMPLEXE(BESSELJ(C39,1),-BESSELY(C39,1))</f>
        <v>7,47892601715685E-002+4,36368346153357i</v>
      </c>
      <c r="F44" s="56" t="s">
        <v>19</v>
      </c>
      <c r="G44" s="16"/>
    </row>
    <row r="45" spans="1:7" ht="21">
      <c r="A45" s="29"/>
      <c r="B45" s="39" t="s">
        <v>20</v>
      </c>
      <c r="C45" s="46">
        <f>_XLL.IMREALTEIL(C44)</f>
        <v>0.772794630468484</v>
      </c>
      <c r="D45" s="32"/>
      <c r="E45" s="46">
        <f>_XLL.IMAGINÄRTEIL(C44)</f>
        <v>-0.186455638184398</v>
      </c>
      <c r="F45" s="33"/>
      <c r="G45" s="14"/>
    </row>
    <row r="46" spans="1:7" ht="21">
      <c r="A46" s="29"/>
      <c r="B46" s="59" t="s">
        <v>21</v>
      </c>
      <c r="C46" s="44" t="str">
        <f>[1]!IMPRODUCT(_XLL.KOMPLEXE(2*PI(),0),_XLL.IMSUMME([1]!IMPRODUCT(_XLL.KOMPLEXE(0,C39),C44),_XLL.KOMPLEXE(-0.5*C39^2,0)))</f>
        <v>0,10504446423638+0,728341780144031i</v>
      </c>
      <c r="D46" s="58"/>
      <c r="E46" s="44">
        <f>IMARGUMENT(C46)</f>
        <v>1.4275598756643497</v>
      </c>
      <c r="F46" s="56"/>
      <c r="G46" s="14"/>
    </row>
    <row r="47" spans="1:7" ht="21">
      <c r="A47" s="29"/>
      <c r="B47" s="59" t="s">
        <v>22</v>
      </c>
      <c r="C47" s="60">
        <f>IMABS(C46)</f>
        <v>0.7358777671394102</v>
      </c>
      <c r="D47" s="61"/>
      <c r="E47" s="62">
        <f>E46*180/PI()</f>
        <v>81.7931558777878</v>
      </c>
      <c r="F47" s="33"/>
      <c r="G47" s="14"/>
    </row>
    <row r="48" spans="1:7" ht="21">
      <c r="A48" s="29"/>
      <c r="B48" s="39" t="s">
        <v>23</v>
      </c>
      <c r="C48" s="44" t="str">
        <f>[1]!IMPRODUCT(_XLL.KOMPLEXE(2*PI(),0),_XLL.IMSUMME([1]!IMPRODUCT(_XLL.KOMPLEXE(1,C39),C44),_XLL.KOMPLEXE(-0.25*C39^2,0.5*C39)))</f>
        <v>4,99599924921613+2,80453519014949E-002i</v>
      </c>
      <c r="D48" s="58"/>
      <c r="E48" s="44">
        <f>IMARGUMENT(C48)</f>
        <v>0.005613503108982379</v>
      </c>
      <c r="F48" s="33"/>
      <c r="G48" s="14"/>
    </row>
    <row r="49" spans="1:7" ht="21">
      <c r="A49" s="29"/>
      <c r="B49" s="39" t="s">
        <v>22</v>
      </c>
      <c r="C49" s="46">
        <f>IMABS(C48)</f>
        <v>4.996077965757881</v>
      </c>
      <c r="D49" s="32"/>
      <c r="E49" s="31">
        <f>E48*180/PI()</f>
        <v>0.32163003642825655</v>
      </c>
      <c r="F49" s="33"/>
      <c r="G49" s="14"/>
    </row>
    <row r="50" spans="1:7" ht="21">
      <c r="A50" s="29"/>
      <c r="B50" s="39" t="s">
        <v>24</v>
      </c>
      <c r="C50" s="46">
        <f>-2*PI()*(-1/8*C39^2)</f>
        <v>0.017671458676442587</v>
      </c>
      <c r="D50" s="32"/>
      <c r="E50" s="31">
        <v>0</v>
      </c>
      <c r="F50" s="33"/>
      <c r="G50" s="14"/>
    </row>
    <row r="51" spans="1:7" ht="21">
      <c r="A51" s="29"/>
      <c r="B51" s="39" t="s">
        <v>25</v>
      </c>
      <c r="C51" s="63" t="str">
        <f>[1]!IMPRODUCT(_XLL.KOMPLEXE(-2*PI(),0),_XLL.KOMPLEXE(-3/32*C39^2,C39/4))</f>
        <v>1,32535940073319E-002-0,235619449019235i</v>
      </c>
      <c r="D51" s="58"/>
      <c r="E51" s="44">
        <f>IMARGUMENT(C51)</f>
        <v>-1.5146055405936598</v>
      </c>
      <c r="F51" s="33"/>
      <c r="G51" s="14"/>
    </row>
    <row r="52" spans="1:7" ht="21">
      <c r="A52" s="29"/>
      <c r="B52" s="39" t="s">
        <v>22</v>
      </c>
      <c r="C52" s="46">
        <f>IMABS(C51)</f>
        <v>0.23599191195937005</v>
      </c>
      <c r="D52" s="32"/>
      <c r="E52" s="31">
        <f>E51*180/PI()</f>
        <v>-86.78050510314719</v>
      </c>
      <c r="F52" s="33"/>
      <c r="G52" s="14"/>
    </row>
    <row r="53" spans="1:7" ht="21">
      <c r="A53" s="29"/>
      <c r="B53" s="64" t="s">
        <v>27</v>
      </c>
      <c r="C53" s="63" t="str">
        <f>[1]!imsum(C48,[1]!IMPRODUCT(_XLL.KOMPLEXE(-2*(C19-0.25),0),C46))</f>
        <v>4,99599924921613+2,80453519014949E-002i</v>
      </c>
      <c r="D53" s="58"/>
      <c r="E53" s="44">
        <f>IMARGUMENT(C53)</f>
        <v>0.005613503108982379</v>
      </c>
      <c r="F53" s="33"/>
      <c r="G53" s="14"/>
    </row>
    <row r="54" spans="1:7" ht="21">
      <c r="A54" s="29"/>
      <c r="B54" s="64" t="s">
        <v>22</v>
      </c>
      <c r="C54" s="65">
        <f>IMABS(C53)</f>
        <v>4.996077965757881</v>
      </c>
      <c r="D54" s="66"/>
      <c r="E54" s="67">
        <f>E53*180/PI()</f>
        <v>0.32163003642825655</v>
      </c>
      <c r="F54" s="33"/>
      <c r="G54" s="14"/>
    </row>
    <row r="55" spans="1:7" ht="21">
      <c r="A55" s="29"/>
      <c r="B55" s="59" t="s">
        <v>28</v>
      </c>
      <c r="C55" s="63" t="str">
        <f>[1]!imsum(C50,[1]!IMPRODUCT(_XLL.KOMPLEXE((C19-0.25),0),C46))</f>
        <v>1,76714586764426E-002</v>
      </c>
      <c r="D55" s="58"/>
      <c r="E55" s="44">
        <f>IMARGUMENT(C55)</f>
        <v>0</v>
      </c>
      <c r="F55" s="33"/>
      <c r="G55" s="14"/>
    </row>
    <row r="56" spans="1:7" ht="21">
      <c r="A56" s="29"/>
      <c r="B56" s="59" t="s">
        <v>22</v>
      </c>
      <c r="C56" s="60">
        <f>IMABS(C55)</f>
        <v>0.0176714586764426</v>
      </c>
      <c r="D56" s="61"/>
      <c r="E56" s="62">
        <f>E55*180/PI()</f>
        <v>0</v>
      </c>
      <c r="F56" s="33"/>
      <c r="G56" s="14"/>
    </row>
    <row r="57" spans="1:7" ht="21">
      <c r="A57" s="29"/>
      <c r="B57" s="64" t="s">
        <v>29</v>
      </c>
      <c r="C57" s="46" t="str">
        <f>[1]!imsum(C51,[1]!IMPRODUCT(_XLL.KOMPLEXE(-2*(C19-0.25),0),C50),[1]!IMPRODUCT(_XLL.KOMPLEXE(C19-0.25,0),C48),[1]!IMPRODUCT(_XLL.KOMPLEXE(-2*(C19-0.25)^2,0),C46))</f>
        <v>1,32535940073319E-002-0,235619449019235i</v>
      </c>
      <c r="D57" s="32"/>
      <c r="E57" s="31">
        <f>IMARGUMENT(C57)</f>
        <v>-1.5146055405936598</v>
      </c>
      <c r="F57" s="33"/>
      <c r="G57" s="14"/>
    </row>
    <row r="58" spans="1:7" ht="21">
      <c r="A58" s="29"/>
      <c r="B58" s="64" t="s">
        <v>22</v>
      </c>
      <c r="C58" s="65">
        <f>IMABS(C57)</f>
        <v>0.23599191195937005</v>
      </c>
      <c r="D58" s="66"/>
      <c r="E58" s="67">
        <f>E57*180/PI()</f>
        <v>-86.78050510314719</v>
      </c>
      <c r="F58" s="33"/>
      <c r="G58" s="14"/>
    </row>
    <row r="59" spans="1:7" ht="12.75">
      <c r="A59" s="34"/>
      <c r="B59" s="28"/>
      <c r="C59" s="35"/>
      <c r="D59" s="36"/>
      <c r="E59" s="35"/>
      <c r="F59" s="37"/>
      <c r="G59" s="14"/>
    </row>
    <row r="60" spans="1:7" ht="21">
      <c r="A60" s="29"/>
      <c r="B60" s="30" t="s">
        <v>35</v>
      </c>
      <c r="C60" s="31"/>
      <c r="D60" s="32"/>
      <c r="E60" s="63" t="s">
        <v>6</v>
      </c>
      <c r="F60" s="56" t="s">
        <v>6</v>
      </c>
      <c r="G60" s="14"/>
    </row>
    <row r="61" spans="1:7" ht="21">
      <c r="A61" s="29"/>
      <c r="B61" s="39" t="s">
        <v>13</v>
      </c>
      <c r="C61" s="31">
        <f>SQRT(E25/(-E67*C23*E34))</f>
        <v>0.4405831073087558</v>
      </c>
      <c r="D61" s="32" t="s">
        <v>83</v>
      </c>
      <c r="E61" s="46">
        <f>E41</f>
        <v>8.41859935163863</v>
      </c>
      <c r="F61" s="33" t="s">
        <v>6</v>
      </c>
      <c r="G61" s="14"/>
    </row>
    <row r="62" spans="1:7" ht="21">
      <c r="A62" s="29"/>
      <c r="B62" s="39" t="s">
        <v>86</v>
      </c>
      <c r="C62" s="31">
        <f>E62*E21/2</f>
        <v>1.664090301688175</v>
      </c>
      <c r="D62" s="32" t="s">
        <v>2</v>
      </c>
      <c r="E62" s="46">
        <f>E61*C61</f>
        <v>3.709092661532424</v>
      </c>
      <c r="F62" s="33" t="s">
        <v>85</v>
      </c>
      <c r="G62" s="14"/>
    </row>
    <row r="63" spans="1:7" ht="21">
      <c r="A63" s="29"/>
      <c r="B63" s="39" t="s">
        <v>87</v>
      </c>
      <c r="C63" s="31">
        <f>E63*180/PI()</f>
        <v>29.089983360791706</v>
      </c>
      <c r="D63" s="32" t="s">
        <v>10</v>
      </c>
      <c r="E63" s="46">
        <f>ATAN(E62*C39)</f>
        <v>0.5077159889961808</v>
      </c>
      <c r="F63" s="33" t="s">
        <v>46</v>
      </c>
      <c r="G63" s="14"/>
    </row>
    <row r="64" spans="1:7" ht="21">
      <c r="A64" s="29"/>
      <c r="B64" s="39" t="s">
        <v>84</v>
      </c>
      <c r="C64" s="31">
        <f>C61*180/PI()</f>
        <v>25.24355257355116</v>
      </c>
      <c r="D64" s="32" t="s">
        <v>10</v>
      </c>
      <c r="E64" s="46"/>
      <c r="F64" s="33"/>
      <c r="G64" s="14"/>
    </row>
    <row r="65" spans="1:7" ht="21">
      <c r="A65" s="29"/>
      <c r="B65" s="39" t="s">
        <v>88</v>
      </c>
      <c r="C65" s="31">
        <f>C64-C63</f>
        <v>-3.8464307872405463</v>
      </c>
      <c r="D65" s="32" t="s">
        <v>10</v>
      </c>
      <c r="E65" s="63">
        <f>0.5*C26*C37*(C37*C47*SIN(E46)+C54*SIN(E53-E29))</f>
        <v>0.7258523590358424</v>
      </c>
      <c r="F65" s="56" t="s">
        <v>30</v>
      </c>
      <c r="G65" s="14"/>
    </row>
    <row r="66" spans="1:7" ht="21">
      <c r="A66" s="29"/>
      <c r="B66" s="39" t="s">
        <v>90</v>
      </c>
      <c r="C66" s="110">
        <f>E67*C23*C61^2*E34</f>
        <v>-478.68645509498924</v>
      </c>
      <c r="D66" s="32" t="s">
        <v>15</v>
      </c>
      <c r="E66" s="63">
        <f>-C26*(C37*C56*SIN(E55+E29)+C58*SIN(E57))</f>
        <v>0.013100126667470072</v>
      </c>
      <c r="F66" s="56" t="s">
        <v>31</v>
      </c>
      <c r="G66" s="14"/>
    </row>
    <row r="67" spans="1:7" ht="21">
      <c r="A67" s="29"/>
      <c r="B67" s="39" t="s">
        <v>33</v>
      </c>
      <c r="C67" s="31">
        <f>-E67/(E65+E66+0.00001)</f>
        <v>0.8031088366210565</v>
      </c>
      <c r="D67" s="32" t="s">
        <v>36</v>
      </c>
      <c r="E67" s="63">
        <f>0.5*(C37*C47*COS(E46+E29)+C54*COS(E53))</f>
        <v>-0.5934673021997914</v>
      </c>
      <c r="F67" s="56" t="s">
        <v>32</v>
      </c>
      <c r="G67" s="14"/>
    </row>
    <row r="68" spans="1:7" ht="21">
      <c r="A68" s="29"/>
      <c r="B68" s="39" t="s">
        <v>96</v>
      </c>
      <c r="C68" s="31">
        <f>(E65+E66)*C23*C61^2*E34</f>
        <v>596.0337571316895</v>
      </c>
      <c r="D68" s="32" t="s">
        <v>15</v>
      </c>
      <c r="E68" s="63"/>
      <c r="F68" s="56"/>
      <c r="G68" s="14"/>
    </row>
    <row r="69" spans="1:7" ht="21">
      <c r="A69" s="29"/>
      <c r="B69" s="39" t="s">
        <v>38</v>
      </c>
      <c r="C69" s="46">
        <f>-PI()*(C65*PI()/180)^2*(C45^2+E45^2)</f>
        <v>-0.008947915910818257</v>
      </c>
      <c r="D69" s="32"/>
      <c r="E69" s="46" t="s">
        <v>6</v>
      </c>
      <c r="F69" s="33"/>
      <c r="G69" s="14"/>
    </row>
    <row r="70" spans="1:7" ht="21">
      <c r="A70" s="29"/>
      <c r="B70" s="39" t="s">
        <v>89</v>
      </c>
      <c r="C70" s="45">
        <f>C69*C23*C34</f>
        <v>-3.106915246811895</v>
      </c>
      <c r="D70" s="32" t="s">
        <v>1</v>
      </c>
      <c r="E70" s="110">
        <f>C70*C25</f>
        <v>-37.180956144423995</v>
      </c>
      <c r="F70" s="33" t="s">
        <v>15</v>
      </c>
      <c r="G70" s="14"/>
    </row>
    <row r="71" spans="1:7" ht="21">
      <c r="A71" s="6"/>
      <c r="B71" s="76"/>
      <c r="C71" s="10"/>
      <c r="D71" s="8"/>
      <c r="E71" s="7"/>
      <c r="F71" s="9"/>
      <c r="G71" s="14"/>
    </row>
    <row r="72" spans="1:7" ht="21">
      <c r="A72" s="6"/>
      <c r="B72" s="7"/>
      <c r="C72" s="11"/>
      <c r="D72" s="8"/>
      <c r="E72" s="7"/>
      <c r="F72" s="9"/>
      <c r="G72" s="14"/>
    </row>
    <row r="73" spans="1:7" s="17" customFormat="1" ht="21">
      <c r="A73" s="6"/>
      <c r="B73" s="7"/>
      <c r="C73" s="11"/>
      <c r="D73" s="8"/>
      <c r="E73" s="7"/>
      <c r="F73" s="12"/>
      <c r="G73" s="16"/>
    </row>
    <row r="74" spans="1:7" s="23" customFormat="1" ht="20.25">
      <c r="A74" s="13"/>
      <c r="B74" s="8"/>
      <c r="C74" s="11"/>
      <c r="D74" s="8"/>
      <c r="E74" s="7"/>
      <c r="F74" s="12"/>
      <c r="G74" s="22"/>
    </row>
    <row r="75" spans="1:7" ht="18" customHeight="1">
      <c r="A75" s="13"/>
      <c r="B75" s="8"/>
      <c r="C75" s="11"/>
      <c r="D75" s="8"/>
      <c r="E75" s="7"/>
      <c r="F75" s="12"/>
      <c r="G75" s="15"/>
    </row>
    <row r="76" spans="1:7" ht="18" customHeight="1">
      <c r="A76" s="13"/>
      <c r="B76" s="8"/>
      <c r="C76" s="11"/>
      <c r="D76" s="8"/>
      <c r="E76" s="7"/>
      <c r="F76" s="7"/>
      <c r="G76" s="15"/>
    </row>
    <row r="77" spans="1:7" ht="18" customHeight="1">
      <c r="A77" s="13"/>
      <c r="B77" s="8"/>
      <c r="C77" s="11"/>
      <c r="D77" s="8"/>
      <c r="E77" s="7"/>
      <c r="F77" s="7"/>
      <c r="G77" s="14"/>
    </row>
    <row r="78" spans="1:7" ht="18" customHeight="1">
      <c r="A78" s="13"/>
      <c r="B78" s="8"/>
      <c r="C78" s="11"/>
      <c r="D78" s="8"/>
      <c r="E78" s="7"/>
      <c r="F78" s="7"/>
      <c r="G78" s="14"/>
    </row>
    <row r="79" spans="1:7" ht="18" customHeight="1">
      <c r="A79" s="13"/>
      <c r="B79" s="8"/>
      <c r="C79" s="8"/>
      <c r="D79" s="8"/>
      <c r="E79" s="7"/>
      <c r="F79" s="7"/>
      <c r="G79" s="14"/>
    </row>
    <row r="80" spans="1:7" ht="18" customHeight="1">
      <c r="A80" s="13"/>
      <c r="B80" s="8"/>
      <c r="C80" s="8"/>
      <c r="D80" s="8"/>
      <c r="E80" s="7"/>
      <c r="F80" s="7"/>
      <c r="G80" s="14"/>
    </row>
    <row r="81" spans="1:7" ht="18" customHeight="1">
      <c r="A81" s="13"/>
      <c r="B81" s="8"/>
      <c r="C81" s="8"/>
      <c r="D81" s="8"/>
      <c r="E81" s="7"/>
      <c r="F81" s="7"/>
      <c r="G81" s="14"/>
    </row>
    <row r="82" spans="1:7" ht="18" customHeight="1">
      <c r="A82" s="13"/>
      <c r="B82" s="8"/>
      <c r="C82" s="8"/>
      <c r="D82" s="8"/>
      <c r="E82" s="7"/>
      <c r="F82" s="7"/>
      <c r="G82" s="14"/>
    </row>
    <row r="83" spans="1:7" ht="18" customHeight="1">
      <c r="A83" s="13"/>
      <c r="B83" s="8"/>
      <c r="C83" s="8"/>
      <c r="D83" s="8"/>
      <c r="E83" s="7"/>
      <c r="F83" s="7"/>
      <c r="G83" s="14"/>
    </row>
    <row r="84" spans="1:7" ht="18" customHeight="1">
      <c r="A84" s="13"/>
      <c r="B84" s="8"/>
      <c r="C84" s="8"/>
      <c r="D84" s="8"/>
      <c r="E84" s="7"/>
      <c r="F84" s="7"/>
      <c r="G84" s="14"/>
    </row>
    <row r="85" spans="1:7" ht="18" customHeight="1">
      <c r="A85" s="13"/>
      <c r="B85" s="8"/>
      <c r="C85" s="8"/>
      <c r="D85" s="8"/>
      <c r="E85" s="7"/>
      <c r="F85" s="7"/>
      <c r="G85" s="14"/>
    </row>
    <row r="86" spans="1:7" ht="18" customHeight="1">
      <c r="A86" s="13"/>
      <c r="B86" s="8"/>
      <c r="C86" s="8"/>
      <c r="D86" s="8"/>
      <c r="E86" s="7"/>
      <c r="F86" s="7"/>
      <c r="G86" s="14"/>
    </row>
    <row r="87" spans="1:7" ht="18" customHeight="1">
      <c r="A87" s="13"/>
      <c r="B87" s="8"/>
      <c r="C87" s="8"/>
      <c r="D87" s="8"/>
      <c r="E87" s="7"/>
      <c r="F87" s="7"/>
      <c r="G87" s="14"/>
    </row>
    <row r="88" spans="1:7" ht="18" customHeight="1">
      <c r="A88" s="13"/>
      <c r="B88" s="8"/>
      <c r="C88" s="8"/>
      <c r="D88" s="8"/>
      <c r="E88" s="7"/>
      <c r="F88" s="7"/>
      <c r="G88" s="14"/>
    </row>
    <row r="89" spans="1:7" ht="18" customHeight="1">
      <c r="A89" s="13"/>
      <c r="B89" s="8"/>
      <c r="C89" s="8"/>
      <c r="D89" s="8"/>
      <c r="E89" s="7"/>
      <c r="F89" s="7"/>
      <c r="G89" s="14"/>
    </row>
    <row r="90" spans="1:7" ht="18" customHeight="1">
      <c r="A90" s="13"/>
      <c r="B90" s="8"/>
      <c r="C90" s="8"/>
      <c r="D90" s="8"/>
      <c r="E90" s="7"/>
      <c r="F90" s="7"/>
      <c r="G90" s="14"/>
    </row>
    <row r="91" spans="1:7" s="17" customFormat="1" ht="15">
      <c r="A91" s="13"/>
      <c r="B91" s="8"/>
      <c r="C91" s="8"/>
      <c r="D91" s="8"/>
      <c r="E91" s="7"/>
      <c r="F91" s="7"/>
      <c r="G91" s="16"/>
    </row>
    <row r="92" spans="1:7" ht="15">
      <c r="A92" s="13"/>
      <c r="B92" s="8"/>
      <c r="C92" s="8"/>
      <c r="D92" s="8"/>
      <c r="E92" s="7"/>
      <c r="F92" s="7"/>
      <c r="G92" s="14"/>
    </row>
    <row r="93" spans="1:7" ht="15">
      <c r="A93" s="3"/>
      <c r="B93" s="4"/>
      <c r="C93" s="4"/>
      <c r="D93" s="4"/>
      <c r="E93" s="5"/>
      <c r="F93" s="5"/>
      <c r="G93" s="14"/>
    </row>
    <row r="94" spans="1:7" ht="15">
      <c r="A94" s="3"/>
      <c r="B94" s="4"/>
      <c r="C94" s="4"/>
      <c r="D94" s="4"/>
      <c r="E94" s="5"/>
      <c r="F94" s="5"/>
      <c r="G94" s="14"/>
    </row>
    <row r="95" spans="1:7" ht="15">
      <c r="A95" s="2"/>
      <c r="E95" s="1"/>
      <c r="F95" s="1"/>
      <c r="G95" s="14"/>
    </row>
    <row r="96" spans="1:7" ht="15">
      <c r="A96" s="2"/>
      <c r="E96" s="1"/>
      <c r="F96" s="1"/>
      <c r="G96" s="14"/>
    </row>
    <row r="97" spans="1:7" ht="15">
      <c r="A97" s="2"/>
      <c r="E97" s="1"/>
      <c r="F97" s="1"/>
      <c r="G97" s="14"/>
    </row>
    <row r="98" spans="1:7" ht="15">
      <c r="A98" s="2"/>
      <c r="E98" s="1"/>
      <c r="F98" s="1"/>
      <c r="G98" s="14"/>
    </row>
    <row r="99" spans="1:7" s="17" customFormat="1" ht="15">
      <c r="A99" s="2"/>
      <c r="B99"/>
      <c r="C99"/>
      <c r="D99"/>
      <c r="E99" s="1"/>
      <c r="F99" s="1"/>
      <c r="G99" s="16"/>
    </row>
    <row r="100" spans="1:7" ht="15">
      <c r="A100" s="2"/>
      <c r="E100" s="1"/>
      <c r="F100" s="1"/>
      <c r="G100" s="14" t="s">
        <v>6</v>
      </c>
    </row>
    <row r="101" spans="1:7" ht="15">
      <c r="A101" s="2"/>
      <c r="E101" s="1"/>
      <c r="F101" s="1"/>
      <c r="G101" s="14"/>
    </row>
    <row r="102" spans="1:7" ht="15">
      <c r="A102" s="2"/>
      <c r="E102" s="1"/>
      <c r="F102" s="1"/>
      <c r="G102" s="14"/>
    </row>
    <row r="103" spans="1:7" ht="15">
      <c r="A103" s="2"/>
      <c r="E103" s="1"/>
      <c r="F103" s="1"/>
      <c r="G103" s="14"/>
    </row>
    <row r="104" spans="1:7" ht="15">
      <c r="A104" s="2"/>
      <c r="E104" s="1"/>
      <c r="F104" s="1"/>
      <c r="G104" s="14"/>
    </row>
    <row r="105" spans="1:7" s="72" customFormat="1" ht="15">
      <c r="A105" s="2"/>
      <c r="B105"/>
      <c r="C105"/>
      <c r="D105"/>
      <c r="E105" s="1"/>
      <c r="F105" s="1"/>
      <c r="G105" s="71"/>
    </row>
    <row r="106" spans="5:7" ht="15">
      <c r="E106" s="1"/>
      <c r="F106" s="1"/>
      <c r="G106" s="8"/>
    </row>
    <row r="107" spans="5:7" ht="15">
      <c r="E107" s="1"/>
      <c r="F107" s="1"/>
      <c r="G107" s="8"/>
    </row>
    <row r="108" spans="5:7" ht="15">
      <c r="E108" s="1"/>
      <c r="F108" s="1"/>
      <c r="G108" s="8"/>
    </row>
    <row r="109" spans="5:7" ht="15">
      <c r="E109" s="1"/>
      <c r="F109" s="1"/>
      <c r="G109" s="8"/>
    </row>
    <row r="110" spans="5:7" ht="15">
      <c r="E110" s="1"/>
      <c r="F110" s="1"/>
      <c r="G110" s="8"/>
    </row>
    <row r="111" spans="5:7" ht="15">
      <c r="E111" s="1"/>
      <c r="F111" s="1"/>
      <c r="G111" s="8"/>
    </row>
    <row r="112" spans="5:7" ht="15">
      <c r="E112" s="1"/>
      <c r="F112" s="1"/>
      <c r="G112" s="8"/>
    </row>
    <row r="113" spans="5:7" ht="15">
      <c r="E113" s="1"/>
      <c r="F113" s="1"/>
      <c r="G113" s="8"/>
    </row>
    <row r="114" spans="5:7" ht="15">
      <c r="E114" s="1"/>
      <c r="F114" s="1"/>
      <c r="G114" s="8"/>
    </row>
    <row r="115" spans="5:7" ht="15">
      <c r="E115" s="1"/>
      <c r="F115" s="1"/>
      <c r="G115" s="8"/>
    </row>
    <row r="116" spans="5:7" ht="15">
      <c r="E116" s="1"/>
      <c r="F116" s="1"/>
      <c r="G116" s="8"/>
    </row>
    <row r="117" spans="5:7" ht="15">
      <c r="E117" s="1"/>
      <c r="F117" s="1"/>
      <c r="G117" s="8"/>
    </row>
    <row r="118" spans="5:7" ht="15">
      <c r="E118" s="1"/>
      <c r="F118" s="1"/>
      <c r="G118" s="8"/>
    </row>
    <row r="119" spans="5:7" ht="15">
      <c r="E119" s="1"/>
      <c r="F119" s="1"/>
      <c r="G119" s="8"/>
    </row>
    <row r="120" spans="5:7" ht="15">
      <c r="E120" s="1"/>
      <c r="F120" s="1"/>
      <c r="G120" s="8"/>
    </row>
    <row r="121" spans="5:7" ht="15">
      <c r="E121" s="1"/>
      <c r="F121" s="1"/>
      <c r="G121" s="8"/>
    </row>
    <row r="122" spans="5:7" ht="15">
      <c r="E122" s="1"/>
      <c r="F122" s="1"/>
      <c r="G122" s="8"/>
    </row>
    <row r="123" spans="5:7" ht="15">
      <c r="E123" s="1"/>
      <c r="F123" s="1"/>
      <c r="G123" s="8"/>
    </row>
    <row r="124" spans="5:7" ht="15">
      <c r="E124" s="1"/>
      <c r="F124" s="1"/>
      <c r="G124" s="8"/>
    </row>
    <row r="125" spans="5:7" ht="15">
      <c r="E125" s="1"/>
      <c r="F125" s="1"/>
      <c r="G125" s="8"/>
    </row>
    <row r="126" spans="5:7" ht="15">
      <c r="E126" s="1"/>
      <c r="F126" s="1"/>
      <c r="G126" s="8"/>
    </row>
    <row r="127" spans="5:7" ht="15">
      <c r="E127" s="1"/>
      <c r="F127" s="1"/>
      <c r="G127" s="8"/>
    </row>
    <row r="128" spans="5:7" ht="15">
      <c r="E128" s="1"/>
      <c r="F128" s="1"/>
      <c r="G128" s="8"/>
    </row>
    <row r="129" spans="5:7" ht="15">
      <c r="E129" s="1"/>
      <c r="F129" s="1"/>
      <c r="G129" s="8"/>
    </row>
    <row r="130" spans="5:7" ht="15">
      <c r="E130" s="1"/>
      <c r="F130" s="1"/>
      <c r="G130" s="8"/>
    </row>
    <row r="131" spans="5:7" ht="15">
      <c r="E131" s="1"/>
      <c r="F131" s="1"/>
      <c r="G131" s="8"/>
    </row>
    <row r="132" spans="5:7" ht="15">
      <c r="E132" s="1"/>
      <c r="F132" s="1"/>
      <c r="G132" s="8"/>
    </row>
    <row r="133" spans="5:7" ht="15">
      <c r="E133" s="1"/>
      <c r="F133" s="1"/>
      <c r="G133" s="4"/>
    </row>
    <row r="134" spans="5:7" ht="15">
      <c r="E134" s="1"/>
      <c r="F134" s="1"/>
      <c r="G134" s="4"/>
    </row>
    <row r="135" spans="5:6" ht="15">
      <c r="E135" s="1"/>
      <c r="F135" s="1"/>
    </row>
    <row r="136" spans="5:6" ht="15">
      <c r="E136" s="1"/>
      <c r="F136" s="1"/>
    </row>
    <row r="137" spans="5:6" ht="15">
      <c r="E137" s="1"/>
      <c r="F137" s="1"/>
    </row>
    <row r="138" spans="5:6" ht="15">
      <c r="E138" s="1"/>
      <c r="F138" s="1"/>
    </row>
    <row r="139" spans="5:6" ht="15">
      <c r="E139" s="1"/>
      <c r="F139" s="1"/>
    </row>
    <row r="140" spans="5:6" ht="15">
      <c r="E140" s="1"/>
      <c r="F140" s="1"/>
    </row>
    <row r="141" spans="5:6" ht="15">
      <c r="E141" s="1"/>
      <c r="F141" s="1"/>
    </row>
    <row r="142" spans="5:6" ht="15">
      <c r="E142" s="1"/>
      <c r="F142" s="1"/>
    </row>
    <row r="143" spans="5:6" ht="15">
      <c r="E143" s="1"/>
      <c r="F143" s="1"/>
    </row>
    <row r="144" spans="5:6" ht="15">
      <c r="E144" s="1"/>
      <c r="F144" s="1"/>
    </row>
    <row r="145" spans="5:6" ht="15">
      <c r="E145" s="1"/>
      <c r="F145" s="1"/>
    </row>
    <row r="146" spans="5:6" ht="15">
      <c r="E146" s="1"/>
      <c r="F146" s="1"/>
    </row>
    <row r="147" spans="5:6" ht="15">
      <c r="E147" s="1"/>
      <c r="F147" s="1"/>
    </row>
    <row r="148" spans="5:6" ht="15">
      <c r="E148" s="1"/>
      <c r="F148" s="1"/>
    </row>
    <row r="149" spans="5:6" ht="15">
      <c r="E149" s="1"/>
      <c r="F149" s="1"/>
    </row>
    <row r="150" spans="5:6" ht="15">
      <c r="E150" s="1"/>
      <c r="F150" s="1"/>
    </row>
    <row r="151" spans="5:6" ht="15">
      <c r="E151" s="1"/>
      <c r="F151" s="1"/>
    </row>
    <row r="152" spans="5:6" ht="15">
      <c r="E152" s="1"/>
      <c r="F152" s="1"/>
    </row>
    <row r="153" spans="5:6" ht="15">
      <c r="E153" s="1"/>
      <c r="F153" s="1"/>
    </row>
    <row r="154" spans="5:6" ht="15">
      <c r="E154" s="1"/>
      <c r="F154" s="1"/>
    </row>
  </sheetData>
  <conditionalFormatting sqref="C65:C66 C69">
    <cfRule type="cellIs" priority="1" dxfId="0" operator="greaterThan" stopIfTrue="1">
      <formula>15</formula>
    </cfRule>
  </conditionalFormatting>
  <conditionalFormatting sqref="C7:C10">
    <cfRule type="cellIs" priority="2" dxfId="1" operator="greaterThan" stopIfTrue="1">
      <formula>150</formula>
    </cfRule>
  </conditionalFormatting>
  <conditionalFormatting sqref="C67:C68">
    <cfRule type="cellIs" priority="3" dxfId="2" operator="lessThanOrEqual" stopIfTrue="1">
      <formula>"c21"</formula>
    </cfRule>
  </conditionalFormatting>
  <conditionalFormatting sqref="C29">
    <cfRule type="cellIs" priority="4" dxfId="0" operator="greaterThan" stopIfTrue="1">
      <formula>40</formula>
    </cfRule>
  </conditionalFormatting>
  <conditionalFormatting sqref="C27">
    <cfRule type="cellIs" priority="5" dxfId="3" operator="greaterThan" stopIfTrue="1">
      <formula>0.95</formula>
    </cfRule>
  </conditionalFormatting>
  <printOptions/>
  <pageMargins left="0.6692913385826772" right="0.4724409448818898" top="0.984251968503937" bottom="0.984251968503937" header="0.5118110236220472" footer="0.5118110236220472"/>
  <pageSetup horizontalDpi="300" verticalDpi="300" orientation="portrait" paperSize="9" scale="91" r:id="rId1"/>
  <headerFooter alignWithMargins="0">
    <oddHeader>&amp;L&amp;"Arial,Fett" ANIPROP GbR&amp;Cnatrs03_modell_send.xls&amp;RSeite &amp;P</oddHeader>
    <oddFooter>&amp;C &amp;RSeite &amp;P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Eckdaten für Hydrokraftwerk</dc:title>
  <dc:subject>Leistungsberechnung, Platte 2D/3D</dc:subject>
  <dc:creator>Dr. W. Send</dc:creator>
  <cp:keywords/>
  <dc:description/>
  <cp:lastModifiedBy>Dr. W. Send</cp:lastModifiedBy>
  <cp:lastPrinted>2002-11-04T14:21:22Z</cp:lastPrinted>
  <dcterms:created xsi:type="dcterms:W3CDTF">1999-12-18T13:24:17Z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